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<sst xmlns="http://schemas.openxmlformats.org/spreadsheetml/2006/main" count="1423" uniqueCount="258">
  <si>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</si>
  <si>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</si>
  <si>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</si>
  <si>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</si>
  <si>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</si>
  <si>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</si>
  <si>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</si>
  <si>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</si>
  <si>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</si>
  <si>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</si>
  <si>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</si>
  <si>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</si>
  <si>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</si>
  <si>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</si>
  <si>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</si>
  <si>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</si>
  <si>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</si>
  <si>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</si>
  <si>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</si>
  <si>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</si>
  <si>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</si>
  <si>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</si>
  <si>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</si>
  <si>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</si>
  <si>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</si>
  <si>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</si>
  <si>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</si>
  <si>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</si>
  <si>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</si>
  <si>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</si>
  <si>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</si>
  <si>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</si>
  <si>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</si>
  <si>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</si>
  <si>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</si>
  <si>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</si>
  <si>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</si>
  <si>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</si>
  <si>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</si>
  <si>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</si>
  <si>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</si>
  <si>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</si>
  <si>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</si>
  <si>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</si>
  <si>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</si>
  <si>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</si>
  <si>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</si>
  <si>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</si>
  <si>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</si>
  <si>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</si>
  <si>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</si>
  <si>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</si>
  <si>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</si>
  <si>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</si>
  <si>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</si>
  <si>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</si>
  <si>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</si>
  <si>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</si>
  <si>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</si>
  <si>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</si>
  <si>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</si>
  <si>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</si>
  <si>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</si>
  <si>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</si>
  <si>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</si>
  <si>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</si>
  <si>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</si>
  <si>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</si>
  <si>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</si>
  <si>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</si>
  <si>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</si>
  <si>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</si>
  <si>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</si>
  <si>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</si>
  <si>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</si>
  <si>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</si>
  <si>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</si>
  <si>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</si>
  <si>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</si>
  <si>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</si>
  <si>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</si>
  <si>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</si>
  <si>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</si>
  <si>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</si>
  <si>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</si>
  <si>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</si>
  <si>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</si>
  <si>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</si>
  <si>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</si>
  <si>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</si>
  <si>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</si>
  <si>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</si>
  <si>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</si>
  <si>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</si>
  <si>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</si>
  <si>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</si>
  <si>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</si>
  <si>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</si>
  <si>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</si>
  <si>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</si>
  <si>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</si>
  <si>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</si>
  <si>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</si>
  <si>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</si>
  <si>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</si>
  <si>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</si>
  <si>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</si>
  <si>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</si>
  <si>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</si>
  <si>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</si>
  <si>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</si>
  <si>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</si>
  <si>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</si>
  <si>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</si>
  <si>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</si>
  <si>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</si>
  <si>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</si>
  <si>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</si>
  <si>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</si>
  <si>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</si>
  <si>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</si>
  <si>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</si>
  <si>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</si>
  <si>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</si>
  <si>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</si>
  <si>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</si>
  <si>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</si>
  <si>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</si>
  <si>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</si>
  <si>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</si>
  <si>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</si>
  <si>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</si>
  <si>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</si>
  <si>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</si>
  <si>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</si>
  <si>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</si>
  <si>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</si>
  <si>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</si>
  <si>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</si>
  <si>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</si>
  <si>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</si>
  <si>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</si>
  <si>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</si>
  <si>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</si>
  <si>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</si>
  <si>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</si>
  <si>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</si>
  <si>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</si>
  <si>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</si>
  <si>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</si>
  <si>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</si>
  <si>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</si>
  <si>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</si>
  <si>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</si>
  <si>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</si>
  <si>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</si>
  <si>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</si>
  <si>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</si>
  <si>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</si>
  <si>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</si>
  <si>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</si>
  <si>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</si>
  <si>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</si>
  <si>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</si>
  <si>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</si>
  <si>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</si>
  <si>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</si>
  <si>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</si>
  <si>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</si>
  <si>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</si>
  <si>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</si>
  <si>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</si>
  <si>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</si>
  <si>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</si>
  <si>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</si>
  <si>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</si>
  <si>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</si>
  <si>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</si>
  <si>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</si>
  <si>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</si>
  <si>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</si>
  <si>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</si>
  <si>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</si>
  <si>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</si>
  <si>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</si>
  <si>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</si>
  <si>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</si>
  <si>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</si>
  <si>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</si>
  <si>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</si>
  <si>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</si>
  <si>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</si>
  <si>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</si>
  <si>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</si>
  <si>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</si>
  <si>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</si>
  <si>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</si>
  <si>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</si>
  <si>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</si>
  <si>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</si>
  <si>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</si>
  <si>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</si>
  <si>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</si>
  <si>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</si>
  <si>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</si>
  <si>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</si>
  <si>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</si>
  <si>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</si>
  <si>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</si>
  <si>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</si>
  <si>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</si>
  <si>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</si>
  <si>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</si>
  <si>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</si>
  <si>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</si>
  <si>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</si>
  <si>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</si>
  <si>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</si>
  <si>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</si>
  <si>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</si>
  <si>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</si>
  <si>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</si>
  <si>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</si>
  <si>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</si>
  <si>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</si>
  <si>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</si>
  <si>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</si>
  <si>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</si>
  <si>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</si>
  <si>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</si>
  <si>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</si>
  <si>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</si>
  <si>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</si>
  <si>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</si>
  <si>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</si>
  <si>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</si>
  <si>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</si>
  <si>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</si>
  <si>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</si>
  <si>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</si>
  <si>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</si>
  <si>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</si>
  <si>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</si>
  <si>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</si>
  <si>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</si>
  <si>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</si>
  <si>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</si>
  <si>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</si>
  <si>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</si>
  <si>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</si>
  <si>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</si>
  <si>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</si>
  <si>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</si>
  <si>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</si>
  <si>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</si>
  <si>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</si>
  <si>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</si>
  <si>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23.07.14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</si>
</sst>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31420042.94999999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6" sqref="E14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254452.87000000002</v>
      </c>
      <c r="G8" s="22">
        <f aca="true" t="shared" si="0" ref="G8:G30">F8-E8</f>
        <v>-16781.83999999994</v>
      </c>
      <c r="H8" s="51">
        <f>F8/E8*100</f>
        <v>93.81279777945826</v>
      </c>
      <c r="I8" s="36">
        <f aca="true" t="shared" si="1" ref="I8:I17">F8-D8</f>
        <v>-234023.42999999996</v>
      </c>
      <c r="J8" s="36">
        <f aca="true" t="shared" si="2" ref="J8:J14">F8/D8*100</f>
        <v>52.09113932446672</v>
      </c>
      <c r="K8" s="36">
        <f>F8-267884.5</f>
        <v>-13431.629999999976</v>
      </c>
      <c r="L8" s="136">
        <f>F8/267884.5</f>
        <v>0.9498603689276536</v>
      </c>
      <c r="M8" s="22">
        <f>M10+M19+M33+M56+M68+M30</f>
        <v>37968.180000000015</v>
      </c>
      <c r="N8" s="22">
        <f>N10+N19+N33+N56+N68+N30</f>
        <v>28033.84999999999</v>
      </c>
      <c r="O8" s="36">
        <f aca="true" t="shared" si="3" ref="O8:O71">N8-M8</f>
        <v>-9934.330000000024</v>
      </c>
      <c r="P8" s="36">
        <f>F8/M8*100</f>
        <v>670.1739983322875</v>
      </c>
      <c r="Q8" s="36">
        <f>N8-39945.7</f>
        <v>-11911.850000000006</v>
      </c>
      <c r="R8" s="134">
        <f>N8/39945.7</f>
        <v>0.7017989420638515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208147.25</v>
      </c>
      <c r="G9" s="22">
        <f t="shared" si="0"/>
        <v>208147.25</v>
      </c>
      <c r="H9" s="20"/>
      <c r="I9" s="56">
        <f t="shared" si="1"/>
        <v>-178865.95</v>
      </c>
      <c r="J9" s="56">
        <f t="shared" si="2"/>
        <v>53.78298466305542</v>
      </c>
      <c r="K9" s="56"/>
      <c r="L9" s="135"/>
      <c r="M9" s="20">
        <f>M10+M17</f>
        <v>30824.800000000017</v>
      </c>
      <c r="N9" s="20">
        <f>N10+N17</f>
        <v>25149.119999999995</v>
      </c>
      <c r="O9" s="36">
        <f t="shared" si="3"/>
        <v>-5675.680000000022</v>
      </c>
      <c r="P9" s="56">
        <f>F9/M9*100</f>
        <v>675.259044665334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208147.25</v>
      </c>
      <c r="G10" s="49">
        <f t="shared" si="0"/>
        <v>-13223.850000000006</v>
      </c>
      <c r="H10" s="40">
        <f aca="true" t="shared" si="4" ref="H10:H17">F10/E10*100</f>
        <v>94.02638826838734</v>
      </c>
      <c r="I10" s="56">
        <f t="shared" si="1"/>
        <v>-178865.95</v>
      </c>
      <c r="J10" s="56">
        <f t="shared" si="2"/>
        <v>53.78298466305542</v>
      </c>
      <c r="K10" s="141">
        <f>F10-211325.8</f>
        <v>-3178.5499999999884</v>
      </c>
      <c r="L10" s="142">
        <f>F10/211325.8</f>
        <v>0.9849590064251502</v>
      </c>
      <c r="M10" s="40">
        <f>E10-червень!E10</f>
        <v>30824.800000000017</v>
      </c>
      <c r="N10" s="40">
        <f>F10-червень!F10</f>
        <v>25149.119999999995</v>
      </c>
      <c r="O10" s="53">
        <f t="shared" si="3"/>
        <v>-5675.680000000022</v>
      </c>
      <c r="P10" s="56">
        <f aca="true" t="shared" si="5" ref="P10:P17">N10/M10*100</f>
        <v>81.58729334821307</v>
      </c>
      <c r="Q10" s="141">
        <f>N10-32192.1</f>
        <v>-7042.980000000003</v>
      </c>
      <c r="R10" s="142">
        <f>N10/32192.1</f>
        <v>0.7812202372631794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337.1</v>
      </c>
      <c r="G19" s="49">
        <f t="shared" si="0"/>
        <v>-696.4999999999999</v>
      </c>
      <c r="H19" s="40">
        <f aca="true" t="shared" si="6" ref="H19:H29">F19/E19*100</f>
        <v>32.61416408668731</v>
      </c>
      <c r="I19" s="56">
        <f aca="true" t="shared" si="7" ref="I19:I29">F19-D19</f>
        <v>-662.9</v>
      </c>
      <c r="J19" s="56">
        <f aca="true" t="shared" si="8" ref="J19:J29">F19/D19*100</f>
        <v>33.71</v>
      </c>
      <c r="K19" s="56">
        <f>F19-6042.8</f>
        <v>-5705.7</v>
      </c>
      <c r="L19" s="135">
        <f>F19/6042.8</f>
        <v>0.05578539749784868</v>
      </c>
      <c r="M19" s="40">
        <f>E19-червень!E19</f>
        <v>10.999999999999886</v>
      </c>
      <c r="N19" s="40">
        <f>F19-червень!F19</f>
        <v>19.230000000000018</v>
      </c>
      <c r="O19" s="53">
        <f t="shared" si="3"/>
        <v>8.230000000000132</v>
      </c>
      <c r="P19" s="56">
        <f aca="true" t="shared" si="9" ref="P19:P29">N19/M19*100</f>
        <v>174.81818181818377</v>
      </c>
      <c r="Q19" s="56">
        <f>N19-422.4</f>
        <v>-403.16999999999996</v>
      </c>
      <c r="R19" s="135">
        <f>N19/422.4</f>
        <v>0.04552556818181823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2.92</v>
      </c>
      <c r="G30" s="49">
        <f t="shared" si="0"/>
        <v>-15.58</v>
      </c>
      <c r="H30" s="40"/>
      <c r="I30" s="56"/>
      <c r="J30" s="56"/>
      <c r="K30" s="56">
        <f>F30-25.1</f>
        <v>-22.18</v>
      </c>
      <c r="L30" s="149">
        <f>F30/25.1</f>
        <v>0.11633466135458166</v>
      </c>
      <c r="M30" s="40">
        <f>E30-червень!E30</f>
        <v>0.5</v>
      </c>
      <c r="N30" s="40">
        <f>F30-червень!F30</f>
        <v>0.009999999999999787</v>
      </c>
      <c r="O30" s="53">
        <f t="shared" si="3"/>
        <v>-0.4900000000000002</v>
      </c>
      <c r="P30" s="56"/>
      <c r="Q30" s="56">
        <f>N30-0</f>
        <v>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42212.2</v>
      </c>
      <c r="G33" s="49">
        <f aca="true" t="shared" si="14" ref="G33:G72">F33-E33</f>
        <v>-2648.9100000000035</v>
      </c>
      <c r="H33" s="40">
        <f aca="true" t="shared" si="15" ref="H33:H67">F33/E33*100</f>
        <v>94.09530883208194</v>
      </c>
      <c r="I33" s="56">
        <f>F33-D33</f>
        <v>-51353.8</v>
      </c>
      <c r="J33" s="56">
        <f aca="true" t="shared" si="16" ref="J33:J72">F33/D33*100</f>
        <v>45.114892161682654</v>
      </c>
      <c r="K33" s="141">
        <f>F33-46836.9</f>
        <v>-4624.700000000004</v>
      </c>
      <c r="L33" s="142">
        <f>F33/46836.9</f>
        <v>0.9012594770362683</v>
      </c>
      <c r="M33" s="40">
        <f>E33-червень!E33</f>
        <v>6579.879999999997</v>
      </c>
      <c r="N33" s="40">
        <f>F33-червень!F33</f>
        <v>2379.1399999999994</v>
      </c>
      <c r="O33" s="53">
        <f t="shared" si="3"/>
        <v>-4200.739999999998</v>
      </c>
      <c r="P33" s="56">
        <f aca="true" t="shared" si="17" ref="P33:P67">N33/M33*100</f>
        <v>36.15780226995022</v>
      </c>
      <c r="Q33" s="141">
        <f>N33-6866.9</f>
        <v>-4487.76</v>
      </c>
      <c r="R33" s="142">
        <f>N33/6866.9</f>
        <v>0.34646492594911815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31549.67</v>
      </c>
      <c r="G55" s="144">
        <f t="shared" si="14"/>
        <v>-1561.1399999999994</v>
      </c>
      <c r="H55" s="146">
        <f t="shared" si="15"/>
        <v>95.2851047739394</v>
      </c>
      <c r="I55" s="145">
        <f t="shared" si="18"/>
        <v>-38716.33</v>
      </c>
      <c r="J55" s="145">
        <f t="shared" si="16"/>
        <v>44.9003358665642</v>
      </c>
      <c r="K55" s="148">
        <f>F55-33694.14</f>
        <v>-2144.470000000001</v>
      </c>
      <c r="L55" s="149">
        <f>F55/33694.14</f>
        <v>0.9363548082841704</v>
      </c>
      <c r="M55" s="40">
        <f>E55-червень!E55</f>
        <v>4779.879999999997</v>
      </c>
      <c r="N55" s="40">
        <f>F55-червень!F55</f>
        <v>1783.079999999998</v>
      </c>
      <c r="O55" s="148">
        <f t="shared" si="3"/>
        <v>-2996.7999999999993</v>
      </c>
      <c r="P55" s="148">
        <f t="shared" si="17"/>
        <v>37.30386536900506</v>
      </c>
      <c r="Q55" s="163">
        <f>N55-4878.99</f>
        <v>-3095.9100000000017</v>
      </c>
      <c r="R55" s="164">
        <f>N55/4878.99</f>
        <v>0.3654608843223696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0.36+3752.06</f>
        <v>3752.42</v>
      </c>
      <c r="G56" s="49">
        <f t="shared" si="14"/>
        <v>-197.8800000000001</v>
      </c>
      <c r="H56" s="40">
        <f t="shared" si="15"/>
        <v>94.9907601954282</v>
      </c>
      <c r="I56" s="56">
        <f t="shared" si="18"/>
        <v>-3107.58</v>
      </c>
      <c r="J56" s="56">
        <f t="shared" si="16"/>
        <v>54.7</v>
      </c>
      <c r="K56" s="56">
        <f>F56-3653.5</f>
        <v>98.92000000000007</v>
      </c>
      <c r="L56" s="135">
        <f>F56/3653.5</f>
        <v>1.0270754071438346</v>
      </c>
      <c r="M56" s="40">
        <f>E56-червень!E56</f>
        <v>552</v>
      </c>
      <c r="N56" s="40">
        <f>F56-червень!F56</f>
        <v>486.3499999999999</v>
      </c>
      <c r="O56" s="53">
        <f t="shared" si="3"/>
        <v>-65.65000000000009</v>
      </c>
      <c r="P56" s="56">
        <f t="shared" si="17"/>
        <v>88.106884057971</v>
      </c>
      <c r="Q56" s="56">
        <f>N56-464.2</f>
        <v>22.14999999999992</v>
      </c>
      <c r="R56" s="135">
        <f>N56/464.2</f>
        <v>1.0477165015079706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7334.2300000000005</v>
      </c>
      <c r="G74" s="50">
        <f aca="true" t="shared" si="24" ref="G74:G92">F74-E74</f>
        <v>-1644.7699999999995</v>
      </c>
      <c r="H74" s="51">
        <f aca="true" t="shared" si="25" ref="H74:H87">F74/E74*100</f>
        <v>81.68203586145451</v>
      </c>
      <c r="I74" s="36">
        <f aca="true" t="shared" si="26" ref="I74:I92">F74-D74</f>
        <v>-11024.07</v>
      </c>
      <c r="J74" s="36">
        <f aca="true" t="shared" si="27" ref="J74:J92">F74/D74*100</f>
        <v>39.95048561141283</v>
      </c>
      <c r="K74" s="36">
        <f>F74-11260</f>
        <v>-3925.7699999999995</v>
      </c>
      <c r="L74" s="136">
        <f>F74/11260</f>
        <v>0.6513525754884547</v>
      </c>
      <c r="M74" s="22">
        <f>M77+M86+M88+M89+M94+M95+M96+M97+M99+M87+M104</f>
        <v>1550.5</v>
      </c>
      <c r="N74" s="22">
        <f>N77+N86+N88+N89+N94+N95+N96+N97+N99+N32+N104+N87+N103</f>
        <v>992.6500000000004</v>
      </c>
      <c r="O74" s="55">
        <f aca="true" t="shared" si="28" ref="O74:O92">N74-M74</f>
        <v>-557.8499999999996</v>
      </c>
      <c r="P74" s="36">
        <f>N74/M74*100</f>
        <v>64.02128345694939</v>
      </c>
      <c r="Q74" s="36">
        <f>N74-2110.7</f>
        <v>-1118.0499999999993</v>
      </c>
      <c r="R74" s="136">
        <f>N74/2110.7</f>
        <v>0.47029421518927395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73.31</v>
      </c>
      <c r="G89" s="49">
        <f t="shared" si="24"/>
        <v>-25.689999999999998</v>
      </c>
      <c r="H89" s="40">
        <f>F89/E89*100</f>
        <v>74.05050505050505</v>
      </c>
      <c r="I89" s="56">
        <f t="shared" si="26"/>
        <v>-101.69</v>
      </c>
      <c r="J89" s="56">
        <f t="shared" si="27"/>
        <v>41.89142857142858</v>
      </c>
      <c r="K89" s="56">
        <f>F89-94</f>
        <v>-20.689999999999998</v>
      </c>
      <c r="L89" s="135">
        <f>F89/94</f>
        <v>0.7798936170212766</v>
      </c>
      <c r="M89" s="40">
        <f>E89-червень!E89</f>
        <v>15</v>
      </c>
      <c r="N89" s="40">
        <f>F89-червень!F89</f>
        <v>11.54</v>
      </c>
      <c r="O89" s="53">
        <f t="shared" si="28"/>
        <v>-3.460000000000001</v>
      </c>
      <c r="P89" s="56">
        <f>N89/M89*100</f>
        <v>76.93333333333334</v>
      </c>
      <c r="Q89" s="56">
        <f>N89-12.8</f>
        <v>-1.2600000000000016</v>
      </c>
      <c r="R89" s="135">
        <f>N89/12.8</f>
        <v>0.9015624999999999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495.55</v>
      </c>
      <c r="G96" s="49">
        <f t="shared" si="31"/>
        <v>-108.94999999999999</v>
      </c>
      <c r="H96" s="40">
        <f>F96/E96*100</f>
        <v>81.97684036393714</v>
      </c>
      <c r="I96" s="56">
        <f t="shared" si="32"/>
        <v>-704.45</v>
      </c>
      <c r="J96" s="56">
        <f>F96/D96*100</f>
        <v>41.295833333333334</v>
      </c>
      <c r="K96" s="56">
        <f>F96-602.5</f>
        <v>-106.94999999999999</v>
      </c>
      <c r="L96" s="135">
        <f>F96/602.5</f>
        <v>0.8224896265560167</v>
      </c>
      <c r="M96" s="40">
        <f>E96-червень!E96</f>
        <v>130</v>
      </c>
      <c r="N96" s="40">
        <f>F96-червень!F96</f>
        <v>80.22000000000003</v>
      </c>
      <c r="O96" s="53">
        <f t="shared" si="33"/>
        <v>-49.77999999999997</v>
      </c>
      <c r="P96" s="56">
        <f>N96/M96*100</f>
        <v>61.70769230769233</v>
      </c>
      <c r="Q96" s="56">
        <f>N96-139.4</f>
        <v>-59.17999999999998</v>
      </c>
      <c r="R96" s="135">
        <f>N96/139.4</f>
        <v>0.5754662840746056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2278.07</v>
      </c>
      <c r="G99" s="49">
        <f t="shared" si="31"/>
        <v>91.07000000000016</v>
      </c>
      <c r="H99" s="40">
        <f>F99/E99*100</f>
        <v>104.16415180612712</v>
      </c>
      <c r="I99" s="56">
        <f t="shared" si="32"/>
        <v>-2294.6299999999997</v>
      </c>
      <c r="J99" s="56">
        <f>F99/D99*100</f>
        <v>49.81892536138387</v>
      </c>
      <c r="K99" s="56">
        <f>F99-2623.7</f>
        <v>-345.62999999999965</v>
      </c>
      <c r="L99" s="135">
        <f>F99/2623.7</f>
        <v>0.8682661889697756</v>
      </c>
      <c r="M99" s="40">
        <f>E99-червень!E99</f>
        <v>350</v>
      </c>
      <c r="N99" s="40">
        <f>F99-червень!F99</f>
        <v>308.7900000000002</v>
      </c>
      <c r="O99" s="53">
        <f t="shared" si="33"/>
        <v>-41.20999999999981</v>
      </c>
      <c r="P99" s="56">
        <f>N99/M99*100</f>
        <v>88.22571428571435</v>
      </c>
      <c r="Q99" s="56">
        <f>N99-632</f>
        <v>-323.2099999999998</v>
      </c>
      <c r="R99" s="135">
        <f>N99/632</f>
        <v>0.48859177215189903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457.5</v>
      </c>
      <c r="G102" s="144"/>
      <c r="H102" s="146"/>
      <c r="I102" s="145"/>
      <c r="J102" s="145"/>
      <c r="K102" s="148">
        <f>F102-325</f>
        <v>132.5</v>
      </c>
      <c r="L102" s="149">
        <f>F102/325</f>
        <v>1.4076923076923078</v>
      </c>
      <c r="M102" s="40">
        <f>E102-червень!E102</f>
        <v>0</v>
      </c>
      <c r="N102" s="40">
        <f>F102-червень!F102</f>
        <v>94.19999999999999</v>
      </c>
      <c r="O102" s="53"/>
      <c r="P102" s="60"/>
      <c r="Q102" s="60">
        <f>N102-80.2</f>
        <v>13.999999999999986</v>
      </c>
      <c r="R102" s="138">
        <f>N102/80.2</f>
        <v>1.1745635910224437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261801.31000000003</v>
      </c>
      <c r="G107" s="50">
        <f>F107-E107</f>
        <v>-18430.599999999948</v>
      </c>
      <c r="H107" s="51">
        <f>F107/E107*100</f>
        <v>93.42309018269906</v>
      </c>
      <c r="I107" s="36">
        <f t="shared" si="34"/>
        <v>-245078.28999999995</v>
      </c>
      <c r="J107" s="36">
        <f t="shared" si="36"/>
        <v>51.649604758210835</v>
      </c>
      <c r="K107" s="36">
        <f>F107-279160.4</f>
        <v>-17359.089999999997</v>
      </c>
      <c r="L107" s="136">
        <f>F107/279160.4</f>
        <v>0.9378167892007606</v>
      </c>
      <c r="M107" s="22">
        <f>M8+M74+M105+M106</f>
        <v>39521.680000000015</v>
      </c>
      <c r="N107" s="22">
        <f>N8+N74+N105+N106</f>
        <v>29026.719999999994</v>
      </c>
      <c r="O107" s="55">
        <f t="shared" si="35"/>
        <v>-10494.960000000021</v>
      </c>
      <c r="P107" s="36">
        <f>N107/M107*100</f>
        <v>73.44505597940164</v>
      </c>
      <c r="Q107" s="36">
        <f>N107-42056.4</f>
        <v>-13029.680000000008</v>
      </c>
      <c r="R107" s="136">
        <f>N107/42056.4</f>
        <v>0.6901855603427777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208642.8</v>
      </c>
      <c r="G108" s="71">
        <f>G10-G18+G96</f>
        <v>-13332.800000000007</v>
      </c>
      <c r="H108" s="72">
        <f>F108/E108*100</f>
        <v>93.99357406850122</v>
      </c>
      <c r="I108" s="52">
        <f t="shared" si="34"/>
        <v>-179570.40000000002</v>
      </c>
      <c r="J108" s="52">
        <f t="shared" si="36"/>
        <v>53.74438581686557</v>
      </c>
      <c r="K108" s="52">
        <f>F108-212017.3</f>
        <v>-3374.5</v>
      </c>
      <c r="L108" s="137">
        <f>F108/212017.3</f>
        <v>0.9840838459880397</v>
      </c>
      <c r="M108" s="71">
        <f>M10-M18+M96</f>
        <v>30954.800000000017</v>
      </c>
      <c r="N108" s="71">
        <f>N10-N18+N96</f>
        <v>25229.339999999997</v>
      </c>
      <c r="O108" s="53">
        <f t="shared" si="35"/>
        <v>-5725.460000000021</v>
      </c>
      <c r="P108" s="52">
        <f>N108/M108*100</f>
        <v>81.50380554873551</v>
      </c>
      <c r="Q108" s="52">
        <f>N108-32331.5</f>
        <v>-7102.1600000000035</v>
      </c>
      <c r="R108" s="137">
        <f>N108/32331.5</f>
        <v>0.7803331116712803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53158.51000000004</v>
      </c>
      <c r="G109" s="62">
        <f>F109-E109</f>
        <v>-5097.79999999993</v>
      </c>
      <c r="H109" s="72">
        <f>F109/E109*100</f>
        <v>91.24935994057995</v>
      </c>
      <c r="I109" s="52">
        <f t="shared" si="34"/>
        <v>-65507.88999999993</v>
      </c>
      <c r="J109" s="52">
        <f t="shared" si="36"/>
        <v>44.79659785752332</v>
      </c>
      <c r="K109" s="52">
        <f>F109-67143.1</f>
        <v>-13984.589999999967</v>
      </c>
      <c r="L109" s="137">
        <f>F109/67143.1</f>
        <v>0.7917196256949713</v>
      </c>
      <c r="M109" s="71">
        <f>M107-M108</f>
        <v>8566.879999999997</v>
      </c>
      <c r="N109" s="71">
        <f>N107-N108</f>
        <v>3797.3799999999974</v>
      </c>
      <c r="O109" s="53">
        <f t="shared" si="35"/>
        <v>-4769.5</v>
      </c>
      <c r="P109" s="52">
        <f>N109/M109*100</f>
        <v>44.32628915077599</v>
      </c>
      <c r="Q109" s="52">
        <f>N109-9724.9</f>
        <v>-5927.520000000002</v>
      </c>
      <c r="R109" s="137">
        <f>N109/9924.9</f>
        <v>0.3826114117018809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208642.8</v>
      </c>
      <c r="G110" s="111">
        <f>F110-E110</f>
        <v>-7962.900000000023</v>
      </c>
      <c r="H110" s="72">
        <f>F110/E110*100</f>
        <v>96.3237809531328</v>
      </c>
      <c r="I110" s="81">
        <f t="shared" si="34"/>
        <v>-179570.40000000002</v>
      </c>
      <c r="J110" s="52">
        <f t="shared" si="36"/>
        <v>53.74438581686557</v>
      </c>
      <c r="K110" s="52"/>
      <c r="L110" s="137"/>
      <c r="M110" s="72">
        <f>E110-травень!E109</f>
        <v>65489.30000000002</v>
      </c>
      <c r="N110" s="71">
        <f>N108</f>
        <v>25229.339999999997</v>
      </c>
      <c r="O110" s="118">
        <f t="shared" si="35"/>
        <v>-40259.96000000002</v>
      </c>
      <c r="P110" s="52">
        <f>N110/M110*100</f>
        <v>38.52436962984792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746.16</v>
      </c>
      <c r="G115" s="49">
        <f t="shared" si="37"/>
        <v>-1278.44</v>
      </c>
      <c r="H115" s="40">
        <f aca="true" t="shared" si="39" ref="H115:H126">F115/E115*100</f>
        <v>36.85468734564852</v>
      </c>
      <c r="I115" s="60">
        <f t="shared" si="38"/>
        <v>-2925.34</v>
      </c>
      <c r="J115" s="60">
        <f aca="true" t="shared" si="40" ref="J115:J121">F115/D115*100</f>
        <v>20.323028734849515</v>
      </c>
      <c r="K115" s="60">
        <f>F115-2198.8</f>
        <v>-1452.6400000000003</v>
      </c>
      <c r="L115" s="138">
        <f>F115/2198.8</f>
        <v>0.339348735674004</v>
      </c>
      <c r="M115" s="40">
        <f>E115-червень!E115</f>
        <v>327.5</v>
      </c>
      <c r="N115" s="40">
        <f>F115-червень!F115</f>
        <v>140.07999999999993</v>
      </c>
      <c r="O115" s="53">
        <f aca="true" t="shared" si="41" ref="O115:O126">N115-M115</f>
        <v>-187.42000000000007</v>
      </c>
      <c r="P115" s="60">
        <f>N115/M115*100</f>
        <v>42.77251908396945</v>
      </c>
      <c r="Q115" s="60">
        <f>N115-307.3</f>
        <v>-167.22000000000008</v>
      </c>
      <c r="R115" s="138">
        <f>N115/307.3</f>
        <v>0.4558411975268465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928.36</v>
      </c>
      <c r="G117" s="62">
        <f t="shared" si="37"/>
        <v>-1252.7399999999998</v>
      </c>
      <c r="H117" s="72">
        <f t="shared" si="39"/>
        <v>42.56384393196094</v>
      </c>
      <c r="I117" s="61">
        <f t="shared" si="38"/>
        <v>-3011.24</v>
      </c>
      <c r="J117" s="61">
        <f t="shared" si="40"/>
        <v>23.564828916641282</v>
      </c>
      <c r="K117" s="61">
        <f>F117-2366</f>
        <v>-1437.6399999999999</v>
      </c>
      <c r="L117" s="139">
        <f>F117/2366</f>
        <v>0.3923753169907016</v>
      </c>
      <c r="M117" s="62">
        <f>M115+M116+M114</f>
        <v>349.5</v>
      </c>
      <c r="N117" s="38">
        <f>SUM(N114:N116)</f>
        <v>158.20999999999992</v>
      </c>
      <c r="O117" s="61">
        <f t="shared" si="41"/>
        <v>-191.29000000000008</v>
      </c>
      <c r="P117" s="61">
        <f>N117/M117*100</f>
        <v>45.26752503576535</v>
      </c>
      <c r="Q117" s="61">
        <f>N117-335.5</f>
        <v>-177.29000000000008</v>
      </c>
      <c r="R117" s="139">
        <f>N117/335.5</f>
        <v>0.4715648286140087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160.26</v>
      </c>
      <c r="G119" s="49">
        <f t="shared" si="37"/>
        <v>-22.24000000000001</v>
      </c>
      <c r="H119" s="40">
        <f t="shared" si="39"/>
        <v>87.81369863013698</v>
      </c>
      <c r="I119" s="60">
        <f t="shared" si="38"/>
        <v>-106.94</v>
      </c>
      <c r="J119" s="60">
        <f t="shared" si="40"/>
        <v>59.97754491017964</v>
      </c>
      <c r="K119" s="60">
        <f>F119-172.6</f>
        <v>-12.340000000000003</v>
      </c>
      <c r="L119" s="138">
        <f>F119/172.6</f>
        <v>0.928505214368482</v>
      </c>
      <c r="M119" s="40">
        <f>E119-червень!E119</f>
        <v>73</v>
      </c>
      <c r="N119" s="40">
        <f>F119-червень!F119</f>
        <v>21.97999999999999</v>
      </c>
      <c r="O119" s="53">
        <f>N119-M119</f>
        <v>-51.02000000000001</v>
      </c>
      <c r="P119" s="60">
        <f>N119/M119*100</f>
        <v>30.109589041095873</v>
      </c>
      <c r="Q119" s="60">
        <f>N119-76.8</f>
        <v>-54.82000000000001</v>
      </c>
      <c r="R119" s="138">
        <f>N119/76.8</f>
        <v>0.28619791666666655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44036.52</v>
      </c>
      <c r="G120" s="49">
        <f t="shared" si="37"/>
        <v>2723.9199999999983</v>
      </c>
      <c r="H120" s="40">
        <f t="shared" si="39"/>
        <v>106.59343638502538</v>
      </c>
      <c r="I120" s="53">
        <f t="shared" si="38"/>
        <v>-27939.47000000001</v>
      </c>
      <c r="J120" s="60">
        <f t="shared" si="40"/>
        <v>61.182235909502594</v>
      </c>
      <c r="K120" s="60">
        <f>F120-39659.2</f>
        <v>4377.32</v>
      </c>
      <c r="L120" s="138">
        <f>F120/39659.2</f>
        <v>1.1103733812078913</v>
      </c>
      <c r="M120" s="40">
        <f>E120-червень!E120</f>
        <v>7100</v>
      </c>
      <c r="N120" s="40">
        <f>F120-червень!F120</f>
        <v>5982.809999999998</v>
      </c>
      <c r="O120" s="53">
        <f t="shared" si="41"/>
        <v>-1117.1900000000023</v>
      </c>
      <c r="P120" s="60">
        <f aca="true" t="shared" si="42" ref="P120:P125">N120/M120*100</f>
        <v>84.26492957746476</v>
      </c>
      <c r="Q120" s="60">
        <v>7148.5</v>
      </c>
      <c r="R120" s="138">
        <f>N120/7148.5</f>
        <v>0.8369322235434004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2222.99</v>
      </c>
      <c r="G122" s="49">
        <f t="shared" si="37"/>
        <v>-5009.51</v>
      </c>
      <c r="H122" s="40">
        <f t="shared" si="39"/>
        <v>30.736121673003797</v>
      </c>
      <c r="I122" s="60">
        <f t="shared" si="38"/>
        <v>-20855.010000000002</v>
      </c>
      <c r="J122" s="60">
        <f>F122/D122*100</f>
        <v>9.632507149666349</v>
      </c>
      <c r="K122" s="60">
        <f>F122-14177.3</f>
        <v>-11954.31</v>
      </c>
      <c r="L122" s="138">
        <f>F122/14177.3</f>
        <v>0.15679924950448956</v>
      </c>
      <c r="M122" s="40">
        <f>E122-червень!E122</f>
        <v>2409.8999999999996</v>
      </c>
      <c r="N122" s="40">
        <f>F122-червень!F122</f>
        <v>105.85999999999967</v>
      </c>
      <c r="O122" s="53">
        <f t="shared" si="41"/>
        <v>-2304.04</v>
      </c>
      <c r="P122" s="60">
        <f t="shared" si="42"/>
        <v>4.392713390597107</v>
      </c>
      <c r="Q122" s="60">
        <f>N122-329.4</f>
        <v>-223.5400000000003</v>
      </c>
      <c r="R122" s="138">
        <f>N122/329.4</f>
        <v>0.3213721918639942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48862.119999999995</v>
      </c>
      <c r="G124" s="62">
        <f t="shared" si="37"/>
        <v>-2600.520000000004</v>
      </c>
      <c r="H124" s="72">
        <f t="shared" si="39"/>
        <v>94.94678081031209</v>
      </c>
      <c r="I124" s="61">
        <f t="shared" si="38"/>
        <v>-58459.07000000001</v>
      </c>
      <c r="J124" s="61">
        <f>F124/D124*100</f>
        <v>45.528865268825285</v>
      </c>
      <c r="K124" s="61">
        <f>F124-56479.4</f>
        <v>-7617.280000000006</v>
      </c>
      <c r="L124" s="139">
        <f>F124/56479.4</f>
        <v>0.8651317117391473</v>
      </c>
      <c r="M124" s="62">
        <f>M120+M121+M122+M123+M119</f>
        <v>9788.49</v>
      </c>
      <c r="N124" s="62">
        <f>N120+N121+N122+N123+N119</f>
        <v>6165.749999999997</v>
      </c>
      <c r="O124" s="61">
        <f t="shared" si="41"/>
        <v>-3622.7400000000025</v>
      </c>
      <c r="P124" s="61">
        <f t="shared" si="42"/>
        <v>62.98979720058965</v>
      </c>
      <c r="Q124" s="61">
        <f>N124-8200.3</f>
        <v>-2034.550000000002</v>
      </c>
      <c r="R124" s="139">
        <f>N124/8200.3</f>
        <v>0.7518932234186552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5303.28</v>
      </c>
      <c r="G128" s="49">
        <f aca="true" t="shared" si="43" ref="G128:G135">F128-E128</f>
        <v>287.77999999999975</v>
      </c>
      <c r="H128" s="40">
        <f>F128/E128*100</f>
        <v>105.7378127803808</v>
      </c>
      <c r="I128" s="60">
        <f aca="true" t="shared" si="44" ref="I128:I135">F128-D128</f>
        <v>-3396.7200000000003</v>
      </c>
      <c r="J128" s="60">
        <f>F128/D128*100</f>
        <v>60.95724137931035</v>
      </c>
      <c r="K128" s="60">
        <f>F128-6320.8</f>
        <v>-1017.5200000000004</v>
      </c>
      <c r="L128" s="138">
        <f>F128/6320.8</f>
        <v>0.839020377167447</v>
      </c>
      <c r="M128" s="40">
        <f>E128-червень!E128</f>
        <v>3</v>
      </c>
      <c r="N128" s="40">
        <f>F128-червень!F128</f>
        <v>7.719999999999345</v>
      </c>
      <c r="O128" s="53">
        <f aca="true" t="shared" si="45" ref="O128:O135">N128-M128</f>
        <v>4.719999999999345</v>
      </c>
      <c r="P128" s="60">
        <f>N128/M128*100</f>
        <v>257.33333333331154</v>
      </c>
      <c r="Q128" s="60">
        <f>N128-19.4</f>
        <v>-11.680000000000653</v>
      </c>
      <c r="R128" s="162">
        <f>N128/19.4</f>
        <v>0.3979381443298632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5337.339999999999</v>
      </c>
      <c r="G130" s="62">
        <f t="shared" si="43"/>
        <v>295.47999999999956</v>
      </c>
      <c r="H130" s="72">
        <f>F130/E130*100</f>
        <v>105.86053559599036</v>
      </c>
      <c r="I130" s="61">
        <f t="shared" si="44"/>
        <v>-3413.3600000000015</v>
      </c>
      <c r="J130" s="61">
        <f>F130/D130*100</f>
        <v>60.993291965214205</v>
      </c>
      <c r="K130" s="61">
        <f>F130-6438.4</f>
        <v>-1101.0600000000004</v>
      </c>
      <c r="L130" s="139">
        <f>G130/6438.4</f>
        <v>0.045893389662027766</v>
      </c>
      <c r="M130" s="62">
        <f>M125+M128+M129+M127</f>
        <v>5</v>
      </c>
      <c r="N130" s="62">
        <f>N125+N128+N129+N127</f>
        <v>9.589999999999344</v>
      </c>
      <c r="O130" s="61">
        <f t="shared" si="45"/>
        <v>4.589999999999344</v>
      </c>
      <c r="P130" s="61">
        <f>N130/M130*100</f>
        <v>191.79999999998688</v>
      </c>
      <c r="Q130" s="61">
        <f>N130-28.2</f>
        <v>-18.610000000000653</v>
      </c>
      <c r="R130" s="137">
        <f>N130/28.2</f>
        <v>0.34007092198579236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55149.80999999999</v>
      </c>
      <c r="G134" s="50">
        <f t="shared" si="43"/>
        <v>-3551.840000000011</v>
      </c>
      <c r="H134" s="51">
        <f>F134/E134*100</f>
        <v>93.94933532532728</v>
      </c>
      <c r="I134" s="36">
        <f t="shared" si="44"/>
        <v>-64891.680000000015</v>
      </c>
      <c r="J134" s="36">
        <f>F134/D134*100</f>
        <v>45.94229045307584</v>
      </c>
      <c r="K134" s="36">
        <f>F134-65301.1</f>
        <v>-10151.290000000008</v>
      </c>
      <c r="L134" s="136">
        <f>F134/65301.1</f>
        <v>0.8445464165228456</v>
      </c>
      <c r="M134" s="31">
        <f>M117+M131+M124+M130+M133+M132</f>
        <v>10143.39</v>
      </c>
      <c r="N134" s="31">
        <f>N117+N131+N124+N130+N133+N132</f>
        <v>6334.419999999996</v>
      </c>
      <c r="O134" s="36">
        <f t="shared" si="45"/>
        <v>-3808.970000000003</v>
      </c>
      <c r="P134" s="36">
        <f>N134/M134*100</f>
        <v>62.44874741087543</v>
      </c>
      <c r="Q134" s="36">
        <f>N134-8564.5</f>
        <v>-2230.0800000000036</v>
      </c>
      <c r="R134" s="136">
        <f>N134/8564.5</f>
        <v>0.7396135209294176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316951.12</v>
      </c>
      <c r="G135" s="50">
        <f t="shared" si="43"/>
        <v>-21982.440000000002</v>
      </c>
      <c r="H135" s="51">
        <f>F135/E135*100</f>
        <v>93.51423329103203</v>
      </c>
      <c r="I135" s="36">
        <f t="shared" si="44"/>
        <v>-309969.97</v>
      </c>
      <c r="J135" s="36">
        <f>F135/D135*100</f>
        <v>50.55678059897458</v>
      </c>
      <c r="K135" s="36">
        <f>F135-344461.4</f>
        <v>-27510.280000000028</v>
      </c>
      <c r="L135" s="136">
        <f>F135/344461.4</f>
        <v>0.9201353765617859</v>
      </c>
      <c r="M135" s="22">
        <f>M107+M134</f>
        <v>49665.070000000014</v>
      </c>
      <c r="N135" s="22">
        <f>N107+N134</f>
        <v>35361.13999999999</v>
      </c>
      <c r="O135" s="36">
        <f t="shared" si="45"/>
        <v>-14303.930000000022</v>
      </c>
      <c r="P135" s="36">
        <f>N135/M135*100</f>
        <v>71.19921506201437</v>
      </c>
      <c r="Q135" s="36">
        <f>N135-50620.9</f>
        <v>-15259.76000000001</v>
      </c>
      <c r="R135" s="136">
        <f>N135/50620.9</f>
        <v>0.6985482281034117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6</v>
      </c>
      <c r="D137" s="4" t="s">
        <v>118</v>
      </c>
    </row>
    <row r="138" spans="2:17" ht="31.5">
      <c r="B138" s="78" t="s">
        <v>154</v>
      </c>
      <c r="C138" s="39">
        <f>IF(O107&lt;0,ABS(O107/C137),0)</f>
        <v>1749.1600000000035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41843</v>
      </c>
      <c r="D139" s="39">
        <v>1956.3</v>
      </c>
      <c r="N139" s="195"/>
      <c r="O139" s="195"/>
    </row>
    <row r="140" spans="3:15" ht="15.75">
      <c r="C140" s="120">
        <v>41842</v>
      </c>
      <c r="D140" s="39">
        <v>2531.3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41841</v>
      </c>
      <c r="D141" s="39">
        <v>1921.4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118487.92815</v>
      </c>
      <c r="E143" s="80"/>
      <c r="F143" s="100" t="s">
        <v>147</v>
      </c>
      <c r="G143" s="196" t="s">
        <v>149</v>
      </c>
      <c r="H143" s="196"/>
      <c r="I143" s="116">
        <v>104662.70619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31420.042949999992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31420.042949999992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21" sqref="F12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2014-07-24T08:22:41Z</cp:lastPrinted>
  <dcterms:created xsi:type="dcterms:W3CDTF">2003-07-28T11:27:56Z</dcterms:created>
  <dcterms:modified xsi:type="dcterms:W3CDTF">2014-07-24T08:39:58Z</dcterms:modified>
  <cp:category/>
  <cp:version/>
  <cp:contentType/>
  <cp:contentStatus/>
</cp:coreProperties>
</file>